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03 RU\NursingHomes\ICF\FY26 ICF Rates\"/>
    </mc:Choice>
  </mc:AlternateContent>
  <xr:revisionPtr revIDLastSave="0" documentId="13_ncr:1_{922B7523-4144-4C0F-91A5-C0852FB302F2}" xr6:coauthVersionLast="47" xr6:coauthVersionMax="47" xr10:uidLastSave="{00000000-0000-0000-0000-000000000000}"/>
  <bookViews>
    <workbookView xWindow="28680" yWindow="-120" windowWidth="29040" windowHeight="15720" xr2:uid="{10CCB4BF-7827-4F5A-B1E1-33E773126FA9}"/>
  </bookViews>
  <sheets>
    <sheet name="Industry" sheetId="1" r:id="rId1"/>
  </sheets>
  <externalReferences>
    <externalReference r:id="rId2"/>
  </externalReferences>
  <definedNames>
    <definedName name="_xlnm.Print_Area" localSheetId="0">Industry!$A:$R</definedName>
    <definedName name="PYRates">#REF!</definedName>
    <definedName name="Query_from_DMHF_DW_EXD" localSheetId="0" hidden="1">Industry!#REF!</definedName>
    <definedName name="tblFinalWageDif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20" i="1" l="1"/>
  <c r="B12" i="1"/>
  <c r="M12" i="1"/>
  <c r="L12" i="1"/>
  <c r="K12" i="1"/>
  <c r="O2" i="1"/>
  <c r="G2" i="1"/>
  <c r="C2" i="1"/>
  <c r="Q12" i="1" l="1"/>
  <c r="T19" i="1"/>
  <c r="D12" i="1"/>
  <c r="E12" i="1"/>
  <c r="G12" i="1"/>
  <c r="H12" i="1"/>
  <c r="I12" i="1"/>
  <c r="N12" i="1"/>
  <c r="F12" i="1"/>
  <c r="O12" i="1"/>
  <c r="P12" i="1"/>
  <c r="R12" i="1"/>
  <c r="J12" i="1"/>
</calcChain>
</file>

<file path=xl/sharedStrings.xml><?xml version="1.0" encoding="utf-8"?>
<sst xmlns="http://schemas.openxmlformats.org/spreadsheetml/2006/main" count="38" uniqueCount="38">
  <si>
    <t>ICF Rate Calculation</t>
  </si>
  <si>
    <t>Min Prop:</t>
  </si>
  <si>
    <t>Adj Factor:</t>
  </si>
  <si>
    <t>FacID</t>
  </si>
  <si>
    <t>NPI</t>
  </si>
  <si>
    <t>FacName</t>
  </si>
  <si>
    <t>Total Days</t>
  </si>
  <si>
    <t>Mcaid Days</t>
  </si>
  <si>
    <t>FRV</t>
  </si>
  <si>
    <t>Tax &amp; Insurance</t>
  </si>
  <si>
    <t>Tot Prop</t>
  </si>
  <si>
    <t>PY Rate</t>
  </si>
  <si>
    <t>Prop Adj</t>
  </si>
  <si>
    <t>PY Rate - Prop + Prop Adj</t>
  </si>
  <si>
    <t>Adj 
NonProp</t>
  </si>
  <si>
    <t>NonProp
× Days</t>
  </si>
  <si>
    <t>Prop × Days</t>
  </si>
  <si>
    <t>New Rate (+ Prop)</t>
  </si>
  <si>
    <t>Tot New Rate $</t>
  </si>
  <si>
    <t>Prior Rate
× Days</t>
  </si>
  <si>
    <t>Rate
Δ</t>
  </si>
  <si>
    <t>UT000129</t>
  </si>
  <si>
    <t>Medallion Supported Living - Lehi</t>
  </si>
  <si>
    <t>UT000457</t>
  </si>
  <si>
    <t>Medallion Supported Living - Payson</t>
  </si>
  <si>
    <t>UT000620</t>
  </si>
  <si>
    <t>Medallion Supported Living - Springville</t>
  </si>
  <si>
    <t>UT46G011</t>
  </si>
  <si>
    <t>West Jordan Care Center</t>
  </si>
  <si>
    <t>UT46G014</t>
  </si>
  <si>
    <t>Medallion Manor Inc</t>
  </si>
  <si>
    <t>UT46G017</t>
  </si>
  <si>
    <t>Zion Intermediate Care - West</t>
  </si>
  <si>
    <t>UT46G019</t>
  </si>
  <si>
    <t>Zion Intermediate Care - North</t>
  </si>
  <si>
    <t>Total</t>
  </si>
  <si>
    <t>Checksum:</t>
  </si>
  <si>
    <t>Fac Count: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</si>
</sst>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(&quot;$&quot;* #,##0_);_(&quot;$&quot;* \(#,##0\);_(&quot;$&quot;* &quot;-&quot;_);_(@_)"/>
    <numFmt numFmtId="43" formatCode="_(* #,##0.00_);_(* \(#,##0.00\);_(* &quot;-&quot;??_);_(@_)"/>
    <numFmt numFmtId="164" formatCode="&quot;$&quot;#,##0.00"/>
    <numFmt numFmtId="165" formatCode="#,##0.0000"/>
    <numFmt numFmtId="166" formatCode="_(* #,##0.00_);_(* \(#,##0.00\);_(* &quot;-&quot;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8"/>
      <color theme="1" tint="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20000"/>
        <bgColor indexed="64"/>
      </patternFill>
    </fill>
    <fill>
      <patternFill patternType="solid">
        <fgColor rgb="FF35FF9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5" tint="-0.24994659260841701"/>
      </right>
      <top/>
      <bottom/>
      <diagonal/>
    </border>
    <border>
      <left style="thin">
        <color theme="5" tint="-0.24994659260841701"/>
      </left>
      <right style="thin">
        <color theme="5" tint="-0.24994659260841701"/>
      </right>
      <top/>
      <bottom/>
      <diagonal/>
    </border>
    <border>
      <left style="thin">
        <color theme="5" tint="-0.2499465926084170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/>
    <xf numFmtId="164" fontId="1" fillId="0" borderId="1" xfId="0" applyNumberFormat="1" applyFont="1" applyBorder="1" applyAlignment="1">
      <alignment horizontal="center"/>
    </xf>
    <xf numFmtId="3" fontId="0" fillId="0" borderId="0" xfId="0" applyNumberFormat="1"/>
    <xf numFmtId="3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3" fontId="1" fillId="0" borderId="0" xfId="0" applyNumberFormat="1" applyFont="1"/>
    <xf numFmtId="165" fontId="1" fillId="0" borderId="1" xfId="0" applyNumberFormat="1" applyFont="1" applyBorder="1" applyAlignment="1">
      <alignment horizontal="center"/>
    </xf>
    <xf numFmtId="3" fontId="3" fillId="0" borderId="0" xfId="0" applyNumberFormat="1" applyFont="1"/>
    <xf numFmtId="3" fontId="4" fillId="0" borderId="0" xfId="0" applyNumberFormat="1" applyFont="1" applyAlignment="1">
      <alignment horizontal="center"/>
    </xf>
    <xf numFmtId="0" fontId="5" fillId="2" borderId="2" xfId="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49" fontId="0" fillId="0" borderId="0" xfId="0" applyNumberFormat="1"/>
    <xf numFmtId="38" fontId="0" fillId="0" borderId="0" xfId="2" applyFont="1" applyBorder="1"/>
    <xf numFmtId="40" fontId="0" fillId="0" borderId="0" xfId="1" applyFont="1" applyBorder="1"/>
    <xf numFmtId="166" fontId="0" fillId="0" borderId="0" xfId="0" applyNumberFormat="1"/>
    <xf numFmtId="0" fontId="7" fillId="0" borderId="0" xfId="0" applyFont="1" applyAlignment="1">
      <alignment horizontal="center"/>
    </xf>
    <xf numFmtId="38" fontId="0" fillId="0" borderId="0" xfId="0" applyNumberFormat="1"/>
    <xf numFmtId="40" fontId="0" fillId="0" borderId="0" xfId="0" applyNumberFormat="1"/>
    <xf numFmtId="43" fontId="0" fillId="0" borderId="0" xfId="0" applyNumberFormat="1"/>
    <xf numFmtId="40" fontId="0" fillId="0" borderId="5" xfId="0" applyNumberFormat="1" applyBorder="1"/>
    <xf numFmtId="0" fontId="0" fillId="0" borderId="0" xfId="0" applyAlignment="1">
      <alignment horizontal="right"/>
    </xf>
    <xf numFmtId="43" fontId="0" fillId="0" borderId="0" xfId="3" applyNumberFormat="1" applyFont="1"/>
  </cellXfs>
  <cellStyles count="4">
    <cellStyle name="Comma" xfId="1" builtinId="3"/>
    <cellStyle name="Comma [0]" xfId="2" builtinId="6"/>
    <cellStyle name="Currency [0]" xfId="3" builtinId="7"/>
    <cellStyle name="Normal" xfId="0" builtinId="0"/>
  </cellStyles>
  <dxfs count="37">
    <dxf>
      <numFmt numFmtId="8" formatCode="#,##0.00_);[Red]\(#,##0.00\)"/>
      <border diagonalUp="0" diagonalDown="0" outline="0">
        <left/>
        <right style="thin">
          <color indexed="64"/>
        </right>
        <top/>
        <bottom/>
      </border>
    </dxf>
    <dxf>
      <numFmt numFmtId="6" formatCode="#,##0_);[Red]\(#,##0\)"/>
    </dxf>
    <dxf>
      <numFmt numFmtId="6" formatCode="#,##0_);[Red]\(#,##0\)"/>
    </dxf>
    <dxf>
      <numFmt numFmtId="8" formatCode="#,##0.00_);[Red]\(#,##0.00\)"/>
    </dxf>
    <dxf>
      <numFmt numFmtId="6" formatCode="#,##0_);[Red]\(#,##0\)"/>
    </dxf>
    <dxf>
      <numFmt numFmtId="6" formatCode="#,##0_);[Red]\(#,##0\)"/>
    </dxf>
    <dxf>
      <numFmt numFmtId="8" formatCode="#,##0.00_);[Red]\(#,##0.00\)"/>
    </dxf>
    <dxf>
      <numFmt numFmtId="8" formatCode="#,##0.00_);[Red]\(#,##0.00\)"/>
    </dxf>
    <dxf>
      <numFmt numFmtId="35" formatCode="_(* #,##0.00_);_(* \(#,##0.00\);_(* &quot;-&quot;??_);_(@_)"/>
    </dxf>
    <dxf>
      <numFmt numFmtId="8" formatCode="#,##0.00_);[Red]\(#,##0.00\)"/>
    </dxf>
    <dxf>
      <numFmt numFmtId="8" formatCode="#,##0.00_);[Red]\(#,##0.00\)"/>
    </dxf>
    <dxf>
      <numFmt numFmtId="8" formatCode="#,##0.00_);[Red]\(#,##0.00\)"/>
    </dxf>
    <dxf>
      <numFmt numFmtId="8" formatCode="#,##0.00_);[Red]\(#,##0.00\)"/>
    </dxf>
    <dxf>
      <numFmt numFmtId="6" formatCode="#,##0_);[Red]\(#,##0\)"/>
    </dxf>
    <dxf>
      <numFmt numFmtId="6" formatCode="#,##0_);[Red]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(* #,##0.00_);_(* \(#,##0.00\);_(* &quot;-&quot;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4.9989318521683403E-2"/>
        <name val="Calibri"/>
        <family val="2"/>
        <scheme val="minor"/>
      </font>
      <fill>
        <patternFill patternType="solid">
          <fgColor indexed="64"/>
          <bgColor rgb="FFA20000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03%20RU\NursingHomes\ICF\FY26%20ICF%20Rates\2026%20ICF%20Rates.xlsx" TargetMode="External"/><Relationship Id="rId1" Type="http://schemas.openxmlformats.org/officeDocument/2006/relationships/externalLinkPath" Target="2026%20ICF%20Ra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ior Year"/>
      <sheetName val="Prior Year_2024"/>
      <sheetName val="Calculation"/>
      <sheetName val="Industry"/>
      <sheetName val="PRISM Validation"/>
      <sheetName val="FRV"/>
      <sheetName val="Queries"/>
      <sheetName val="Sheet1"/>
    </sheetNames>
    <sheetDataSet>
      <sheetData sheetId="0"/>
      <sheetData sheetId="1"/>
      <sheetData sheetId="2">
        <row r="2">
          <cell r="A2" t="str">
            <v>Fiscal Year 2026</v>
          </cell>
          <cell r="F2">
            <v>8</v>
          </cell>
          <cell r="O2">
            <v>1.020220874421313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B703DA-7DAB-4B88-A912-8F3A989FF247}" name="FromAccess373" displayName="FromAccess373" ref="A4:R12" totalsRowCount="1" headerRowDxfId="36" dataDxfId="35" tableBorderDxfId="34">
  <autoFilter ref="A4:R11" xr:uid="{FE2EB379-8810-4215-BCB3-B3F2BB6EB52B}"/>
  <sortState xmlns:xlrd2="http://schemas.microsoft.com/office/spreadsheetml/2017/richdata2" ref="A5:R11">
    <sortCondition ref="A4:A11"/>
  </sortState>
  <tableColumns count="18">
    <tableColumn id="1" xr3:uid="{3231160A-A1A7-4B0B-95E1-A182EE960F17}" name="FacID" totalsRowLabel="Total" dataDxfId="33"/>
    <tableColumn id="2" xr3:uid="{6A941A38-6436-4A28-ABD3-21DDFFB32A5B}" name="NPI" totalsRowFunction="count" dataDxfId="32" totalsRowDxfId="15"/>
    <tableColumn id="3" xr3:uid="{140E1438-C1D0-455B-88D2-D74644946082}" name="FacName" dataDxfId="31"/>
    <tableColumn id="4" xr3:uid="{5F50CC61-DB50-4216-8A56-E4A4623329ED}" name="Total Days" totalsRowFunction="sum" dataDxfId="30" totalsRowDxfId="14"/>
    <tableColumn id="5" xr3:uid="{3B04882D-B6B7-4B8A-B302-EA70CDB51535}" name="Mcaid Days" totalsRowFunction="sum" dataDxfId="29" totalsRowDxfId="13"/>
    <tableColumn id="6" xr3:uid="{480EA003-E81E-40B9-8694-67055F422940}" name="FRV" totalsRowFunction="average" dataDxfId="28" totalsRowDxfId="12"/>
    <tableColumn id="7" xr3:uid="{3DF14F6E-196C-479E-9489-F7D60298BF85}" name="Tax &amp; Insurance" totalsRowFunction="average" dataDxfId="27" totalsRowDxfId="11"/>
    <tableColumn id="8" xr3:uid="{CB25223C-8A53-4D80-90E9-3FCBD67C64D6}" name="Tot Prop" totalsRowFunction="average" dataDxfId="26" totalsRowDxfId="10"/>
    <tableColumn id="9" xr3:uid="{554952BA-F6E2-4EE5-9701-92A4CFDF887E}" name="PY Rate" totalsRowFunction="average" dataDxfId="25" totalsRowDxfId="9"/>
    <tableColumn id="10" xr3:uid="{9A92222C-FD6F-4021-BDED-AFE98129D989}" name="Prop Adj" totalsRowFunction="average" dataDxfId="24" totalsRowDxfId="8"/>
    <tableColumn id="11" xr3:uid="{B0AE3824-F093-48C1-8438-F973A835F44E}" name="PY Rate - Prop + Prop Adj" totalsRowFunction="average" dataDxfId="23" totalsRowDxfId="7"/>
    <tableColumn id="12" xr3:uid="{9E3EB1AE-61E5-4E04-8345-AED49AE4479B}" name="Adj _x000a_NonProp" totalsRowFunction="average" dataDxfId="22" totalsRowDxfId="6"/>
    <tableColumn id="13" xr3:uid="{C6D27E5F-C968-4D15-AE40-E1C80F886EED}" name="NonProp_x000a_× Days" totalsRowFunction="sum" dataDxfId="21" totalsRowDxfId="5"/>
    <tableColumn id="14" xr3:uid="{AFB0612D-E701-4B26-862B-353051335AEA}" name="Prop × Days" totalsRowFunction="sum" dataDxfId="20" totalsRowDxfId="4"/>
    <tableColumn id="15" xr3:uid="{7CE03C7C-1773-4776-B5DD-A5D862EF8514}" name="New Rate (+ Prop)" totalsRowFunction="average" dataDxfId="19" totalsRowDxfId="3"/>
    <tableColumn id="16" xr3:uid="{EF010E0C-683F-4905-B4F2-C7051E86AA02}" name="Tot New Rate $" totalsRowFunction="sum" dataDxfId="18" totalsRowDxfId="2"/>
    <tableColumn id="17" xr3:uid="{B2E285FF-49FC-4EA6-8C46-B904E24C5097}" name="Prior Rate_x000a_× Days" totalsRowFunction="sum" dataDxfId="17" totalsRowDxfId="1"/>
    <tableColumn id="18" xr3:uid="{E732B1C8-3B32-4C3C-B58E-AFBC2A859FE6}" name="Rate_x000a_Δ" totalsRowFunction="average" dataDxfId="16" totalsRow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dD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00263A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6130-2434-468A-8E3A-D11CE3D661BC}">
  <sheetPr>
    <tabColor rgb="FF99FF99"/>
    <pageSetUpPr fitToPage="1"/>
  </sheetPr>
  <dimension ref="A1:T20"/>
  <sheetViews>
    <sheetView showGridLines="0" tabSelected="1" workbookViewId="0">
      <selection activeCell="S5" sqref="S5"/>
    </sheetView>
  </sheetViews>
  <sheetFormatPr defaultRowHeight="15" outlineLevelCol="1" x14ac:dyDescent="0.25"/>
  <cols>
    <col min="1" max="1" width="9.5703125" customWidth="1" outlineLevel="1"/>
    <col min="2" max="2" width="13.140625" customWidth="1" outlineLevel="1" collapsed="1"/>
    <col min="3" max="3" width="37.140625" customWidth="1"/>
    <col min="4" max="5" width="8.28515625" bestFit="1" customWidth="1"/>
    <col min="6" max="6" width="6.28515625" bestFit="1" customWidth="1"/>
    <col min="7" max="7" width="9.5703125" bestFit="1" customWidth="1"/>
    <col min="8" max="8" width="7" customWidth="1"/>
    <col min="9" max="9" width="8" bestFit="1" customWidth="1"/>
    <col min="10" max="10" width="9.7109375" bestFit="1" customWidth="1"/>
    <col min="11" max="12" width="8.85546875" bestFit="1" customWidth="1"/>
    <col min="13" max="13" width="10.85546875" bestFit="1" customWidth="1"/>
    <col min="14" max="14" width="9.85546875" bestFit="1" customWidth="1"/>
    <col min="15" max="15" width="10.42578125" bestFit="1" customWidth="1"/>
    <col min="16" max="17" width="10.85546875" bestFit="1" customWidth="1"/>
    <col min="18" max="18" width="7" bestFit="1" customWidth="1"/>
    <col min="19" max="19" width="10.5703125" bestFit="1" customWidth="1"/>
    <col min="20" max="20" width="5.85546875" bestFit="1" customWidth="1"/>
  </cols>
  <sheetData>
    <row r="1" spans="1:18" ht="18.75" x14ac:dyDescent="0.3">
      <c r="C1" s="1" t="s">
        <v>0</v>
      </c>
      <c r="G1" s="2" t="s">
        <v>1</v>
      </c>
      <c r="K1" s="3"/>
      <c r="L1" s="3"/>
      <c r="M1" s="3"/>
      <c r="N1" s="3"/>
      <c r="O1" s="4" t="s">
        <v>2</v>
      </c>
    </row>
    <row r="2" spans="1:18" x14ac:dyDescent="0.25">
      <c r="C2" s="3" t="str">
        <f>[1]Calculation!A2</f>
        <v>Fiscal Year 2026</v>
      </c>
      <c r="G2" s="5">
        <f>+[1]Calculation!F2</f>
        <v>8</v>
      </c>
      <c r="H2" s="6"/>
      <c r="I2" s="6"/>
      <c r="J2" s="6"/>
      <c r="K2" s="3"/>
      <c r="L2" s="6"/>
      <c r="M2" s="6"/>
      <c r="O2" s="7">
        <f>+[1]Calculation!O2</f>
        <v>1.020220874421313</v>
      </c>
    </row>
    <row r="3" spans="1:18" s="8" customFormat="1" x14ac:dyDescent="0.25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ht="45" x14ac:dyDescent="0.25">
      <c r="A4" s="10" t="s">
        <v>3</v>
      </c>
      <c r="B4" s="11" t="s">
        <v>4</v>
      </c>
      <c r="C4" s="11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3" t="s">
        <v>17</v>
      </c>
      <c r="P4" s="12" t="s">
        <v>18</v>
      </c>
      <c r="Q4" s="12" t="s">
        <v>19</v>
      </c>
      <c r="R4" s="14" t="s">
        <v>20</v>
      </c>
    </row>
    <row r="5" spans="1:18" x14ac:dyDescent="0.25">
      <c r="A5" t="s">
        <v>21</v>
      </c>
      <c r="B5" s="15">
        <v>1538179981</v>
      </c>
      <c r="C5" s="16" t="s">
        <v>22</v>
      </c>
      <c r="D5" s="17">
        <v>5379</v>
      </c>
      <c r="E5" s="17">
        <v>5379</v>
      </c>
      <c r="F5" s="18">
        <v>8</v>
      </c>
      <c r="G5" s="19">
        <v>1.7386131251161927</v>
      </c>
      <c r="H5" s="19">
        <v>9.738613125116192</v>
      </c>
      <c r="I5" s="19">
        <v>263.60000000000002</v>
      </c>
      <c r="J5" s="18">
        <v>-0.27748177226659787</v>
      </c>
      <c r="K5" s="19">
        <v>253.58390510261722</v>
      </c>
      <c r="L5" s="19">
        <v>258.71159340296339</v>
      </c>
      <c r="M5" s="17">
        <v>1391609.6609145401</v>
      </c>
      <c r="N5" s="17">
        <v>52384</v>
      </c>
      <c r="O5" s="19">
        <v>268.45</v>
      </c>
      <c r="P5" s="17">
        <v>1443993.6609145401</v>
      </c>
      <c r="Q5" s="17">
        <v>1417904.4000000001</v>
      </c>
      <c r="R5" s="18">
        <v>4.8499999999999659</v>
      </c>
    </row>
    <row r="6" spans="1:18" x14ac:dyDescent="0.25">
      <c r="A6" t="s">
        <v>23</v>
      </c>
      <c r="B6" s="15">
        <v>1043518145</v>
      </c>
      <c r="C6" s="16" t="s">
        <v>24</v>
      </c>
      <c r="D6" s="17">
        <v>5788</v>
      </c>
      <c r="E6" s="17">
        <v>5788</v>
      </c>
      <c r="F6" s="18">
        <v>8.2748790601243947</v>
      </c>
      <c r="G6" s="19">
        <v>2.1774360746371806</v>
      </c>
      <c r="H6" s="19">
        <v>10.452315134761575</v>
      </c>
      <c r="I6" s="19">
        <v>262.62</v>
      </c>
      <c r="J6" s="18">
        <v>-0.62922558963629216</v>
      </c>
      <c r="K6" s="19">
        <v>251.53845927560215</v>
      </c>
      <c r="L6" s="19">
        <v>256.62478687274466</v>
      </c>
      <c r="M6" s="17">
        <v>1485344.2664194461</v>
      </c>
      <c r="N6" s="17">
        <v>60497.999999999993</v>
      </c>
      <c r="O6" s="19">
        <v>267.08</v>
      </c>
      <c r="P6" s="17">
        <v>1545842.2664194461</v>
      </c>
      <c r="Q6" s="17">
        <v>1520044.56</v>
      </c>
      <c r="R6" s="18">
        <v>4.4599999999999795</v>
      </c>
    </row>
    <row r="7" spans="1:18" x14ac:dyDescent="0.25">
      <c r="A7" t="s">
        <v>25</v>
      </c>
      <c r="B7" s="15">
        <v>1851722904</v>
      </c>
      <c r="C7" s="16" t="s">
        <v>26</v>
      </c>
      <c r="D7" s="17">
        <v>5840</v>
      </c>
      <c r="E7" s="17">
        <v>5840</v>
      </c>
      <c r="F7" s="18">
        <v>9.6823630136986303</v>
      </c>
      <c r="G7" s="19">
        <v>1.8277397260273973</v>
      </c>
      <c r="H7" s="19">
        <v>11.510102739726028</v>
      </c>
      <c r="I7" s="19">
        <v>256.19</v>
      </c>
      <c r="J7" s="18">
        <v>-0.14515063569042019</v>
      </c>
      <c r="K7" s="19">
        <v>244.53474662458356</v>
      </c>
      <c r="L7" s="19">
        <v>249.47945302772686</v>
      </c>
      <c r="M7" s="17">
        <v>1456960.005681925</v>
      </c>
      <c r="N7" s="17">
        <v>67219</v>
      </c>
      <c r="O7" s="19">
        <v>260.99</v>
      </c>
      <c r="P7" s="17">
        <v>1524179.005681925</v>
      </c>
      <c r="Q7" s="17">
        <v>1496149.6</v>
      </c>
      <c r="R7" s="18">
        <v>4.8000000000000114</v>
      </c>
    </row>
    <row r="8" spans="1:18" x14ac:dyDescent="0.25">
      <c r="A8" t="s">
        <v>27</v>
      </c>
      <c r="B8" s="15">
        <v>1871570374</v>
      </c>
      <c r="C8" s="16" t="s">
        <v>28</v>
      </c>
      <c r="D8" s="17">
        <v>27298</v>
      </c>
      <c r="E8" s="17">
        <v>27036</v>
      </c>
      <c r="F8" s="18">
        <v>12.638618213788556</v>
      </c>
      <c r="G8" s="19">
        <v>0.54839182357681882</v>
      </c>
      <c r="H8" s="19">
        <v>13.187010037365376</v>
      </c>
      <c r="I8" s="19">
        <v>254.48</v>
      </c>
      <c r="J8" s="18">
        <v>-0.84360825500486714</v>
      </c>
      <c r="K8" s="19">
        <v>240.44938170762973</v>
      </c>
      <c r="L8" s="19">
        <v>245.31147845982207</v>
      </c>
      <c r="M8" s="17">
        <v>6632241.1316397497</v>
      </c>
      <c r="N8" s="17">
        <v>356524.0033702103</v>
      </c>
      <c r="O8" s="19">
        <v>258.5</v>
      </c>
      <c r="P8" s="17">
        <v>6988765.1350099603</v>
      </c>
      <c r="Q8" s="17">
        <v>6880121.2799999993</v>
      </c>
      <c r="R8" s="18">
        <v>4.0200000000000102</v>
      </c>
    </row>
    <row r="9" spans="1:18" x14ac:dyDescent="0.25">
      <c r="A9" t="s">
        <v>29</v>
      </c>
      <c r="B9" s="15">
        <v>1720098163</v>
      </c>
      <c r="C9" s="16" t="s">
        <v>30</v>
      </c>
      <c r="D9" s="17">
        <v>14183</v>
      </c>
      <c r="E9" s="17">
        <v>14183</v>
      </c>
      <c r="F9" s="18">
        <v>8.1926954805048293</v>
      </c>
      <c r="G9" s="19">
        <v>0.55714587886906863</v>
      </c>
      <c r="H9" s="19">
        <v>8.7498413593738977</v>
      </c>
      <c r="I9" s="19">
        <v>237.13</v>
      </c>
      <c r="J9" s="18">
        <v>-2.4420328522503087E-3</v>
      </c>
      <c r="K9" s="19">
        <v>228.37771660777383</v>
      </c>
      <c r="L9" s="19">
        <v>232.99571373592585</v>
      </c>
      <c r="M9" s="17">
        <v>3304578.2079166365</v>
      </c>
      <c r="N9" s="17">
        <v>124098.99999999999</v>
      </c>
      <c r="O9" s="19">
        <v>241.75</v>
      </c>
      <c r="P9" s="17">
        <v>3428677.2079166365</v>
      </c>
      <c r="Q9" s="17">
        <v>3363214.79</v>
      </c>
      <c r="R9" s="18">
        <v>4.6200000000000045</v>
      </c>
    </row>
    <row r="10" spans="1:18" x14ac:dyDescent="0.25">
      <c r="A10" t="s">
        <v>31</v>
      </c>
      <c r="B10" s="15">
        <v>1881474484</v>
      </c>
      <c r="C10" s="16" t="s">
        <v>32</v>
      </c>
      <c r="D10" s="17">
        <v>5661</v>
      </c>
      <c r="E10" s="17">
        <v>5661</v>
      </c>
      <c r="F10" s="18">
        <v>8.0100688924218328</v>
      </c>
      <c r="G10" s="19">
        <v>2.921038685744568</v>
      </c>
      <c r="H10" s="19">
        <v>10.931107578166401</v>
      </c>
      <c r="I10" s="19">
        <v>257.48</v>
      </c>
      <c r="J10" s="18">
        <v>0.45812378060587022</v>
      </c>
      <c r="K10" s="19">
        <v>247.00701620243947</v>
      </c>
      <c r="L10" s="19">
        <v>252.00171405825225</v>
      </c>
      <c r="M10" s="17">
        <v>1426581.7032837661</v>
      </c>
      <c r="N10" s="17">
        <v>61880.999999999993</v>
      </c>
      <c r="O10" s="19">
        <v>262.93</v>
      </c>
      <c r="P10" s="17">
        <v>1488462.7032837661</v>
      </c>
      <c r="Q10" s="17">
        <v>1457594.28</v>
      </c>
      <c r="R10" s="18">
        <v>5.4499999999999886</v>
      </c>
    </row>
    <row r="11" spans="1:18" x14ac:dyDescent="0.25">
      <c r="A11" t="s">
        <v>33</v>
      </c>
      <c r="B11" s="15">
        <v>1396525903</v>
      </c>
      <c r="C11" s="16" t="s">
        <v>34</v>
      </c>
      <c r="D11" s="17">
        <v>3824</v>
      </c>
      <c r="E11" s="17">
        <v>3824</v>
      </c>
      <c r="F11" s="18">
        <v>8.893566945606695</v>
      </c>
      <c r="G11" s="19">
        <v>3.4450836820083683</v>
      </c>
      <c r="H11" s="19">
        <v>12.338650627615063</v>
      </c>
      <c r="I11" s="19">
        <v>261.92</v>
      </c>
      <c r="J11" s="18">
        <v>-1.9106185435903749</v>
      </c>
      <c r="K11" s="19">
        <v>247.67073082879458</v>
      </c>
      <c r="L11" s="19">
        <v>252.67884957471844</v>
      </c>
      <c r="M11" s="17">
        <v>966243.92077372328</v>
      </c>
      <c r="N11" s="17">
        <v>47183</v>
      </c>
      <c r="O11" s="19">
        <v>265.02</v>
      </c>
      <c r="P11" s="17">
        <v>1013426.9207737233</v>
      </c>
      <c r="Q11" s="17">
        <v>1001582.0800000001</v>
      </c>
      <c r="R11" s="18">
        <v>3.0999999999999659</v>
      </c>
    </row>
    <row r="12" spans="1:18" x14ac:dyDescent="0.25">
      <c r="A12" t="s">
        <v>35</v>
      </c>
      <c r="B12" s="20">
        <f>SUBTOTAL(103,FromAccess373[NPI])</f>
        <v>7</v>
      </c>
      <c r="D12" s="21">
        <f>SUBTOTAL(109,FromAccess373[Total Days])</f>
        <v>67973</v>
      </c>
      <c r="E12" s="21">
        <f>SUBTOTAL(109,FromAccess373[Mcaid Days])</f>
        <v>67711</v>
      </c>
      <c r="F12" s="22">
        <f>SUBTOTAL(101,FromAccess373[FRV])</f>
        <v>9.0988845151635633</v>
      </c>
      <c r="G12" s="22">
        <f>SUBTOTAL(101,FromAccess373[Tax &amp; Insurance])</f>
        <v>1.8879212851399421</v>
      </c>
      <c r="H12" s="22">
        <f>SUBTOTAL(101,FromAccess373[Tot Prop])</f>
        <v>10.986805800303504</v>
      </c>
      <c r="I12" s="22">
        <f>SUBTOTAL(101,FromAccess373[PY Rate])</f>
        <v>256.20285714285717</v>
      </c>
      <c r="J12" s="23">
        <f>SUBTOTAL(101,FromAccess373[Prop Adj])</f>
        <v>-0.47862900691927607</v>
      </c>
      <c r="K12" s="22">
        <f>SUBTOTAL(101,FromAccess373[PY Rate - Prop + Prop Adj])</f>
        <v>244.73742233563436</v>
      </c>
      <c r="L12" s="22">
        <f>SUBTOTAL(101,FromAccess373[Adj 
NonProp])</f>
        <v>249.68622701887907</v>
      </c>
      <c r="M12" s="21">
        <f>SUBTOTAL(109,FromAccess373[NonProp
× Days])</f>
        <v>16663558.896629788</v>
      </c>
      <c r="N12" s="21">
        <f>SUBTOTAL(109,FromAccess373[Prop × Days])</f>
        <v>769788.0033702103</v>
      </c>
      <c r="O12" s="22">
        <f>SUBTOTAL(101,FromAccess373[New Rate (+ Prop)])</f>
        <v>260.6742857142857</v>
      </c>
      <c r="P12" s="21">
        <f>SUBTOTAL(109,FromAccess373[Tot New Rate $])</f>
        <v>17433346.899999999</v>
      </c>
      <c r="Q12" s="21">
        <f>SUBTOTAL(109,FromAccess373[Prior Rate
× Days])</f>
        <v>17136610.989999998</v>
      </c>
      <c r="R12" s="24">
        <f>SUBTOTAL(101,FromAccess373[Rate
Δ])</f>
        <v>4.4714285714285609</v>
      </c>
    </row>
    <row r="19" spans="19:20" x14ac:dyDescent="0.25">
      <c r="S19" s="25" t="s">
        <v>36</v>
      </c>
      <c r="T19" s="26">
        <f>SUM(FromAccess373[[Total Days]:[Rate
Δ]])-SUM([1]!tblRateCalc[[Total Days]:[Rate Δ]])</f>
        <v>0</v>
      </c>
    </row>
    <row r="20" spans="19:20" x14ac:dyDescent="0.25">
      <c r="S20" s="25" t="s">
        <v>37</v>
      </c>
      <c r="T20" s="26">
        <f>ROWS(FromAccess373[Total Days])-ROWS([1]!tblRateCalc[#Data])</f>
        <v>0</v>
      </c>
    </row>
  </sheetData>
  <sheetProtection algorithmName="SHA-512" hashValue="WWNrmxgrl1jSes+cMNZ9tv9d9WazLdOFwARDbWC2mznzR2MA5AsoArpf1ZT/URbKyOB9N+pI0gSfX7X0BOPSOw==" saltValue="/ENNaa299/CD6dYk4F28Ow==" spinCount="100000" sheet="1" objects="1" scenarios="1"/>
  <printOptions horizontalCentered="1"/>
  <pageMargins left="0.25" right="0.25" top="0.75" bottom="0.75" header="0.3" footer="0.3"/>
  <pageSetup paperSize="5" scale="91" fitToHeight="0" orientation="landscape" horizontalDpi="4294967295" verticalDpi="4294967295" r:id="rId1"/>
  <headerFooter>
    <oddFooter>&amp;L&amp;8Printed: &amp;D &amp;T&amp;R&amp;8Path: &amp;Z&amp;F | &amp;A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72E064-CA60-4339-A273-2F889B94EC67}"/>
</file>

<file path=customXml/itemProps2.xml><?xml version="1.0" encoding="utf-8"?>
<ds:datastoreItem xmlns:ds="http://schemas.openxmlformats.org/officeDocument/2006/customXml" ds:itemID="{2A2C7AEB-A652-42DB-BE25-F1B170483375}"/>
</file>

<file path=customXml/itemProps3.xml><?xml version="1.0" encoding="utf-8"?>
<ds:datastoreItem xmlns:ds="http://schemas.openxmlformats.org/officeDocument/2006/customXml" ds:itemID="{839D1999-4870-4806-ADC3-201EF53B75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Industry</vt:lpstr>
      <vt:lpstr>Industry!Print_Area</vt:lpstr>
    </vt:vector>
  </TitlesOfParts>
  <Company>State of Utah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Likhith Vemula</dc:creator>
  <cp:lastModifiedBy>Sai Likhith Vemula</cp:lastModifiedBy>
  <dcterms:created xsi:type="dcterms:W3CDTF">2026-06-09T16:57:28Z</dcterms:created>
  <dcterms:modified xsi:type="dcterms:W3CDTF">2026-06-09T16:58:20Z</dcterms:modified>
</cp:coreProperties>
</file>